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son\Amazon Drive\Current\Real options\"/>
    </mc:Choice>
  </mc:AlternateContent>
  <bookViews>
    <workbookView xWindow="0" yWindow="420" windowWidth="21600" windowHeight="8865"/>
  </bookViews>
  <sheets>
    <sheet name="Summary" sheetId="16" r:id="rId1"/>
    <sheet name="Assump" sheetId="2" r:id="rId2"/>
    <sheet name="DrTreeNoOptions" sheetId="12" r:id="rId3"/>
    <sheet name="DrTreeNoOptionsRN" sheetId="14" r:id="rId4"/>
    <sheet name="DrTreeDTA" sheetId="1" r:id="rId5"/>
    <sheet name="DrTreeROA" sheetId="15" r:id="rId6"/>
    <sheet name="DrTreeDTADiscRateEst" sheetId="17" r:id="rId7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5" l="1"/>
  <c r="C4" i="1"/>
  <c r="C4" i="14"/>
  <c r="C4" i="12"/>
  <c r="I16" i="14"/>
  <c r="I16" i="12"/>
  <c r="I14" i="14"/>
  <c r="C15" i="16" l="1"/>
  <c r="C16" i="16" s="1"/>
  <c r="C8" i="16"/>
  <c r="C9" i="16" s="1"/>
  <c r="E12" i="17"/>
  <c r="H10" i="17"/>
  <c r="H14" i="17" s="1"/>
  <c r="K8" i="17"/>
  <c r="K12" i="17" s="1"/>
  <c r="C6" i="17"/>
  <c r="E5" i="17"/>
  <c r="E6" i="17" s="1"/>
  <c r="H5" i="17" l="1"/>
  <c r="H6" i="17" s="1"/>
  <c r="E16" i="17"/>
  <c r="E18" i="17"/>
  <c r="H18" i="17" s="1"/>
  <c r="K18" i="17" s="1"/>
  <c r="K5" i="17" l="1"/>
  <c r="K6" i="17" s="1"/>
  <c r="C6" i="15"/>
  <c r="E5" i="15"/>
  <c r="H5" i="15" s="1"/>
  <c r="C6" i="1"/>
  <c r="E5" i="14"/>
  <c r="H5" i="14" s="1"/>
  <c r="C4" i="2"/>
  <c r="I14" i="12"/>
  <c r="E12" i="12"/>
  <c r="E16" i="12" s="1"/>
  <c r="H10" i="12"/>
  <c r="H14" i="12" s="1"/>
  <c r="K8" i="12"/>
  <c r="E5" i="12"/>
  <c r="H5" i="12" s="1"/>
  <c r="K5" i="12" s="1"/>
  <c r="K6" i="12" s="1"/>
  <c r="E6" i="14" l="1"/>
  <c r="H6" i="12"/>
  <c r="F16" i="12" s="1"/>
  <c r="K5" i="15"/>
  <c r="K6" i="15" s="1"/>
  <c r="H6" i="15"/>
  <c r="E6" i="15"/>
  <c r="K5" i="14"/>
  <c r="K6" i="14" s="1"/>
  <c r="H6" i="14"/>
  <c r="F16" i="14" s="1"/>
  <c r="E6" i="12"/>
  <c r="K12" i="12"/>
  <c r="E18" i="12"/>
  <c r="H18" i="12" s="1"/>
  <c r="K18" i="12" s="1"/>
  <c r="L8" i="12" l="1"/>
  <c r="L10" i="12" s="1"/>
  <c r="L8" i="17"/>
  <c r="L8" i="15"/>
  <c r="L18" i="15" s="1"/>
  <c r="L8" i="14"/>
  <c r="L18" i="14" s="1"/>
  <c r="L18" i="12" l="1"/>
  <c r="K8" i="14"/>
  <c r="K8" i="15" s="1"/>
  <c r="K12" i="15" s="1"/>
  <c r="L10" i="15" s="1"/>
  <c r="I10" i="12"/>
  <c r="L10" i="17"/>
  <c r="L18" i="17"/>
  <c r="L19" i="12"/>
  <c r="H10" i="1"/>
  <c r="E5" i="1"/>
  <c r="I10" i="15" l="1"/>
  <c r="I18" i="15" s="1"/>
  <c r="E6" i="1"/>
  <c r="I10" i="17"/>
  <c r="L19" i="17"/>
  <c r="I12" i="12"/>
  <c r="I18" i="12"/>
  <c r="H5" i="1"/>
  <c r="L8" i="1"/>
  <c r="K8" i="1"/>
  <c r="K12" i="1" s="1"/>
  <c r="H14" i="1"/>
  <c r="E12" i="1"/>
  <c r="I12" i="17" l="1"/>
  <c r="I18" i="17"/>
  <c r="F12" i="12"/>
  <c r="H10" i="14"/>
  <c r="H6" i="1"/>
  <c r="I19" i="12"/>
  <c r="L18" i="1"/>
  <c r="K5" i="1"/>
  <c r="E18" i="1"/>
  <c r="E16" i="1"/>
  <c r="L10" i="1"/>
  <c r="F12" i="17" l="1"/>
  <c r="I19" i="17"/>
  <c r="K6" i="1"/>
  <c r="I10" i="1" s="1"/>
  <c r="H14" i="14"/>
  <c r="H10" i="15"/>
  <c r="F18" i="12"/>
  <c r="F14" i="12"/>
  <c r="H18" i="1"/>
  <c r="L19" i="1"/>
  <c r="F18" i="17" l="1"/>
  <c r="F14" i="17"/>
  <c r="C14" i="12"/>
  <c r="C5" i="16" s="1"/>
  <c r="E12" i="14"/>
  <c r="E12" i="15" s="1"/>
  <c r="H14" i="15"/>
  <c r="I12" i="15" s="1"/>
  <c r="F12" i="15" s="1"/>
  <c r="F19" i="12"/>
  <c r="K18" i="1"/>
  <c r="I18" i="1"/>
  <c r="I12" i="1"/>
  <c r="F12" i="1" s="1"/>
  <c r="C14" i="17" l="1"/>
  <c r="F19" i="17"/>
  <c r="E18" i="14"/>
  <c r="H18" i="14" s="1"/>
  <c r="E16" i="14"/>
  <c r="I19" i="15"/>
  <c r="F18" i="15"/>
  <c r="E16" i="15"/>
  <c r="E18" i="15"/>
  <c r="H18" i="15" s="1"/>
  <c r="K18" i="15" s="1"/>
  <c r="L19" i="15"/>
  <c r="C19" i="12"/>
  <c r="I19" i="1"/>
  <c r="C19" i="17" l="1"/>
  <c r="F14" i="15"/>
  <c r="C14" i="15" s="1"/>
  <c r="F14" i="1"/>
  <c r="C14" i="1" s="1"/>
  <c r="F18" i="1"/>
  <c r="F19" i="15" l="1"/>
  <c r="N14" i="17"/>
  <c r="O14" i="17" s="1"/>
  <c r="C14" i="16"/>
  <c r="C19" i="15"/>
  <c r="F19" i="1"/>
  <c r="C7" i="16"/>
  <c r="C6" i="16" s="1"/>
  <c r="C19" i="1" l="1"/>
  <c r="K12" i="14" l="1"/>
  <c r="L10" i="14" s="1"/>
  <c r="I10" i="14" s="1"/>
  <c r="K18" i="14"/>
  <c r="I12" i="14" l="1"/>
  <c r="F12" i="14" s="1"/>
  <c r="I18" i="14"/>
  <c r="L19" i="14"/>
  <c r="I19" i="14" l="1"/>
  <c r="F14" i="14" l="1"/>
  <c r="F18" i="14"/>
  <c r="C14" i="14" l="1"/>
  <c r="C12" i="16" s="1"/>
  <c r="C13" i="16" s="1"/>
  <c r="F19" i="14"/>
  <c r="C19" i="14" l="1"/>
</calcChain>
</file>

<file path=xl/sharedStrings.xml><?xml version="1.0" encoding="utf-8"?>
<sst xmlns="http://schemas.openxmlformats.org/spreadsheetml/2006/main" count="77" uniqueCount="37">
  <si>
    <t>Timing, cost and discount rates</t>
  </si>
  <si>
    <t>First indication:</t>
  </si>
  <si>
    <t>Stage 2</t>
  </si>
  <si>
    <t>Stage 3</t>
  </si>
  <si>
    <t>Stage</t>
  </si>
  <si>
    <t>Cost of stage</t>
  </si>
  <si>
    <t>Years of stage</t>
  </si>
  <si>
    <t>Probability of success at this stage</t>
  </si>
  <si>
    <t>FDA</t>
  </si>
  <si>
    <t>Payoff if FDA stage is successful</t>
  </si>
  <si>
    <t>FDA stage</t>
  </si>
  <si>
    <t>Today</t>
  </si>
  <si>
    <t>Expected value</t>
  </si>
  <si>
    <t>Cumulative odds of success &amp; potential value</t>
  </si>
  <si>
    <t>Inflation</t>
  </si>
  <si>
    <t>Risk free rate</t>
  </si>
  <si>
    <t>Discount rate excluding options in development</t>
  </si>
  <si>
    <t>Real discount rate in development</t>
  </si>
  <si>
    <t>Total years</t>
  </si>
  <si>
    <t>Incremental years</t>
  </si>
  <si>
    <t>Decision tree analysis - no change to discount rate to reflect risk reduction</t>
  </si>
  <si>
    <t>Value without options</t>
  </si>
  <si>
    <t>Nominal discount rate</t>
  </si>
  <si>
    <t>Real discount rate</t>
  </si>
  <si>
    <t>Real options analysis - value takes into account risk reduction associated with options</t>
  </si>
  <si>
    <t>Nominal discount rate which reflects risk reduction from options</t>
  </si>
  <si>
    <t>Real discount rate which reflects risk reduction from options</t>
  </si>
  <si>
    <t>Indication</t>
  </si>
  <si>
    <t>Risk-adjusted discount rate</t>
  </si>
  <si>
    <t>ROA valn</t>
  </si>
  <si>
    <t>Difference</t>
  </si>
  <si>
    <r>
      <t xml:space="preserve">Estimate of option value </t>
    </r>
    <r>
      <rPr>
        <b/>
        <sz val="10"/>
        <color theme="1"/>
        <rFont val="Calibri"/>
        <family val="2"/>
      </rPr>
      <t>with</t>
    </r>
    <r>
      <rPr>
        <sz val="10"/>
        <color theme="1"/>
        <rFont val="Calibri"/>
        <family val="2"/>
        <scheme val="minor"/>
      </rPr>
      <t xml:space="preserve"> proper adjustment to discount rate to reflect risk reduction</t>
    </r>
  </si>
  <si>
    <r>
      <t xml:space="preserve">Estimate of option value </t>
    </r>
    <r>
      <rPr>
        <b/>
        <sz val="10"/>
        <color theme="1"/>
        <rFont val="Calibri"/>
        <family val="2"/>
      </rPr>
      <t>without</t>
    </r>
    <r>
      <rPr>
        <sz val="10"/>
        <color theme="1"/>
        <rFont val="Calibri"/>
        <family val="2"/>
        <scheme val="minor"/>
      </rPr>
      <t xml:space="preserve"> proper adjustment to discount rate to reflect risk reduction</t>
    </r>
  </si>
  <si>
    <r>
      <t xml:space="preserve">Value with options </t>
    </r>
    <r>
      <rPr>
        <b/>
        <sz val="10"/>
        <color theme="1"/>
        <rFont val="Calibri"/>
        <family val="2"/>
      </rPr>
      <t>with</t>
    </r>
    <r>
      <rPr>
        <sz val="10"/>
        <color theme="1"/>
        <rFont val="Calibri"/>
        <family val="2"/>
        <scheme val="minor"/>
      </rPr>
      <t xml:space="preserve"> proper adjustment to discount rate to reflect risk reduction</t>
    </r>
  </si>
  <si>
    <r>
      <t xml:space="preserve">Value with options </t>
    </r>
    <r>
      <rPr>
        <b/>
        <sz val="10"/>
        <color theme="1"/>
        <rFont val="Calibri"/>
        <family val="2"/>
      </rPr>
      <t>without</t>
    </r>
    <r>
      <rPr>
        <sz val="10"/>
        <color theme="1"/>
        <rFont val="Calibri"/>
        <family val="2"/>
        <scheme val="minor"/>
      </rPr>
      <t xml:space="preserve"> proper adjustment to discount rate to reflect risk reduction</t>
    </r>
  </si>
  <si>
    <t>Value</t>
  </si>
  <si>
    <t>Risk-free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</si>
</sst>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7" formatCode="0.000%"/>
    <numFmt numFmtId="168" formatCode="0.000000"/>
  </numFmts>
  <fonts count="9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3333FF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3" fillId="2" borderId="0" xfId="0" applyFont="1" applyFill="1"/>
    <xf numFmtId="9" fontId="3" fillId="2" borderId="0" xfId="0" applyNumberFormat="1" applyFont="1" applyFill="1"/>
    <xf numFmtId="10" fontId="3" fillId="2" borderId="0" xfId="0" applyNumberFormat="1" applyFont="1" applyFill="1"/>
    <xf numFmtId="0" fontId="0" fillId="2" borderId="0" xfId="0" applyFont="1" applyFill="1"/>
    <xf numFmtId="0" fontId="1" fillId="2" borderId="0" xfId="0" applyFont="1" applyFill="1"/>
    <xf numFmtId="0" fontId="4" fillId="2" borderId="0" xfId="0" applyFont="1" applyFill="1"/>
    <xf numFmtId="9" fontId="3" fillId="2" borderId="0" xfId="0" applyNumberFormat="1" applyFont="1" applyFill="1" applyBorder="1"/>
    <xf numFmtId="164" fontId="2" fillId="2" borderId="1" xfId="0" applyNumberFormat="1" applyFont="1" applyFill="1" applyBorder="1"/>
    <xf numFmtId="164" fontId="3" fillId="2" borderId="0" xfId="0" applyNumberFormat="1" applyFont="1" applyFill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167" fontId="0" fillId="2" borderId="0" xfId="0" applyNumberFormat="1" applyFill="1"/>
    <xf numFmtId="10" fontId="0" fillId="2" borderId="0" xfId="1" applyNumberFormat="1" applyFont="1" applyFill="1" applyBorder="1"/>
    <xf numFmtId="10" fontId="0" fillId="2" borderId="0" xfId="1" applyNumberFormat="1" applyFont="1" applyFill="1"/>
    <xf numFmtId="164" fontId="0" fillId="2" borderId="0" xfId="1" applyNumberFormat="1" applyFont="1" applyFill="1"/>
    <xf numFmtId="0" fontId="1" fillId="2" borderId="2" xfId="0" applyFont="1" applyFill="1" applyBorder="1"/>
    <xf numFmtId="1" fontId="2" fillId="2" borderId="0" xfId="0" applyNumberFormat="1" applyFont="1" applyFill="1"/>
    <xf numFmtId="10" fontId="2" fillId="2" borderId="0" xfId="0" applyNumberFormat="1" applyFont="1" applyFill="1"/>
    <xf numFmtId="2" fontId="0" fillId="2" borderId="0" xfId="0" applyNumberFormat="1" applyFont="1" applyFill="1"/>
    <xf numFmtId="10" fontId="1" fillId="2" borderId="0" xfId="1" applyNumberFormat="1" applyFont="1" applyFill="1"/>
    <xf numFmtId="0" fontId="1" fillId="2" borderId="3" xfId="0" applyFont="1" applyFill="1" applyBorder="1"/>
    <xf numFmtId="10" fontId="3" fillId="2" borderId="0" xfId="1" applyNumberFormat="1" applyFont="1" applyFill="1"/>
    <xf numFmtId="0" fontId="0" fillId="2" borderId="0" xfId="0" applyFont="1" applyFill="1" applyAlignment="1">
      <alignment horizontal="right"/>
    </xf>
    <xf numFmtId="164" fontId="0" fillId="2" borderId="0" xfId="0" applyNumberFormat="1" applyFont="1" applyFill="1" applyAlignment="1">
      <alignment horizontal="right"/>
    </xf>
    <xf numFmtId="164" fontId="0" fillId="2" borderId="0" xfId="0" applyNumberFormat="1" applyFont="1" applyFill="1"/>
    <xf numFmtId="9" fontId="2" fillId="5" borderId="1" xfId="0" applyNumberFormat="1" applyFont="1" applyFill="1" applyBorder="1"/>
    <xf numFmtId="164" fontId="2" fillId="2" borderId="6" xfId="0" applyNumberFormat="1" applyFont="1" applyFill="1" applyBorder="1"/>
    <xf numFmtId="164" fontId="0" fillId="3" borderId="0" xfId="0" applyNumberFormat="1" applyFont="1" applyFill="1"/>
    <xf numFmtId="167" fontId="0" fillId="2" borderId="0" xfId="0" applyNumberFormat="1" applyFont="1" applyFill="1"/>
    <xf numFmtId="9" fontId="2" fillId="5" borderId="5" xfId="0" applyNumberFormat="1" applyFont="1" applyFill="1" applyBorder="1"/>
    <xf numFmtId="164" fontId="0" fillId="2" borderId="1" xfId="0" applyNumberFormat="1" applyFont="1" applyFill="1" applyBorder="1"/>
    <xf numFmtId="9" fontId="0" fillId="5" borderId="1" xfId="0" applyNumberFormat="1" applyFont="1" applyFill="1" applyBorder="1"/>
    <xf numFmtId="0" fontId="8" fillId="4" borderId="0" xfId="0" applyFont="1" applyFill="1" applyAlignment="1">
      <alignment horizontal="center"/>
    </xf>
    <xf numFmtId="168" fontId="0" fillId="2" borderId="0" xfId="0" applyNumberFormat="1" applyFont="1" applyFill="1"/>
    <xf numFmtId="9" fontId="0" fillId="2" borderId="0" xfId="0" applyNumberFormat="1" applyFont="1" applyFill="1" applyBorder="1"/>
    <xf numFmtId="0" fontId="0" fillId="2" borderId="4" xfId="0" applyFont="1" applyFill="1" applyBorder="1"/>
    <xf numFmtId="164" fontId="0" fillId="2" borderId="4" xfId="0" applyNumberFormat="1" applyFont="1" applyFill="1" applyBorder="1"/>
    <xf numFmtId="9" fontId="0" fillId="2" borderId="4" xfId="0" applyNumberFormat="1" applyFont="1" applyFill="1" applyBorder="1"/>
    <xf numFmtId="2" fontId="6" fillId="2" borderId="0" xfId="0" applyNumberFormat="1" applyFont="1" applyFill="1"/>
    <xf numFmtId="164" fontId="1" fillId="2" borderId="0" xfId="0" applyNumberFormat="1" applyFont="1" applyFill="1"/>
    <xf numFmtId="9" fontId="0" fillId="2" borderId="0" xfId="0" applyNumberFormat="1" applyFont="1" applyFill="1"/>
    <xf numFmtId="1" fontId="3" fillId="2" borderId="0" xfId="0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7</xdr:row>
      <xdr:rowOff>80962</xdr:rowOff>
    </xdr:from>
    <xdr:to>
      <xdr:col>9</xdr:col>
      <xdr:colOff>590550</xdr:colOff>
      <xdr:row>11</xdr:row>
      <xdr:rowOff>95250</xdr:rowOff>
    </xdr:to>
    <xdr:grpSp>
      <xdr:nvGrpSpPr>
        <xdr:cNvPr id="2" name="Group 1"/>
        <xdr:cNvGrpSpPr/>
      </xdr:nvGrpSpPr>
      <xdr:grpSpPr>
        <a:xfrm>
          <a:off x="6201834" y="1266295"/>
          <a:ext cx="395288" cy="691622"/>
          <a:chOff x="7405688" y="1085850"/>
          <a:chExt cx="542925" cy="700088"/>
        </a:xfrm>
      </xdr:grpSpPr>
      <xdr:cxnSp macro="">
        <xdr:nvCxnSpPr>
          <xdr:cNvPr id="3" name="Straight Arrow Connector 2"/>
          <xdr:cNvCxnSpPr/>
        </xdr:nvCxnSpPr>
        <xdr:spPr>
          <a:xfrm flipV="1">
            <a:off x="7405688" y="1085850"/>
            <a:ext cx="538162" cy="32861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Straight Arrow Connector 3"/>
          <xdr:cNvCxnSpPr/>
        </xdr:nvCxnSpPr>
        <xdr:spPr>
          <a:xfrm>
            <a:off x="7405688" y="1428751"/>
            <a:ext cx="542925" cy="3571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28575</xdr:colOff>
      <xdr:row>9</xdr:row>
      <xdr:rowOff>100013</xdr:rowOff>
    </xdr:from>
    <xdr:to>
      <xdr:col>6</xdr:col>
      <xdr:colOff>571500</xdr:colOff>
      <xdr:row>13</xdr:row>
      <xdr:rowOff>114301</xdr:rowOff>
    </xdr:to>
    <xdr:grpSp>
      <xdr:nvGrpSpPr>
        <xdr:cNvPr id="5" name="Group 4"/>
        <xdr:cNvGrpSpPr/>
      </xdr:nvGrpSpPr>
      <xdr:grpSpPr>
        <a:xfrm>
          <a:off x="4849284" y="1624013"/>
          <a:ext cx="414338" cy="691621"/>
          <a:chOff x="7405688" y="1085850"/>
          <a:chExt cx="542925" cy="700088"/>
        </a:xfrm>
      </xdr:grpSpPr>
      <xdr:cxnSp macro="">
        <xdr:nvCxnSpPr>
          <xdr:cNvPr id="6" name="Straight Arrow Connector 5"/>
          <xdr:cNvCxnSpPr/>
        </xdr:nvCxnSpPr>
        <xdr:spPr>
          <a:xfrm flipV="1">
            <a:off x="7405688" y="1085850"/>
            <a:ext cx="538162" cy="32861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Straight Arrow Connector 6"/>
          <xdr:cNvCxnSpPr/>
        </xdr:nvCxnSpPr>
        <xdr:spPr>
          <a:xfrm>
            <a:off x="7405688" y="1428751"/>
            <a:ext cx="542925" cy="3571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19050</xdr:colOff>
      <xdr:row>11</xdr:row>
      <xdr:rowOff>90487</xdr:rowOff>
    </xdr:from>
    <xdr:to>
      <xdr:col>3</xdr:col>
      <xdr:colOff>561975</xdr:colOff>
      <xdr:row>15</xdr:row>
      <xdr:rowOff>104775</xdr:rowOff>
    </xdr:to>
    <xdr:grpSp>
      <xdr:nvGrpSpPr>
        <xdr:cNvPr id="8" name="Group 7"/>
        <xdr:cNvGrpSpPr/>
      </xdr:nvGrpSpPr>
      <xdr:grpSpPr>
        <a:xfrm>
          <a:off x="3506259" y="1953154"/>
          <a:ext cx="423863" cy="691621"/>
          <a:chOff x="7405688" y="1085850"/>
          <a:chExt cx="542925" cy="700088"/>
        </a:xfrm>
      </xdr:grpSpPr>
      <xdr:cxnSp macro="">
        <xdr:nvCxnSpPr>
          <xdr:cNvPr id="9" name="Straight Arrow Connector 8"/>
          <xdr:cNvCxnSpPr/>
        </xdr:nvCxnSpPr>
        <xdr:spPr>
          <a:xfrm flipV="1">
            <a:off x="7405688" y="1085850"/>
            <a:ext cx="538162" cy="32861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Straight Arrow Connector 9"/>
          <xdr:cNvCxnSpPr/>
        </xdr:nvCxnSpPr>
        <xdr:spPr>
          <a:xfrm>
            <a:off x="7405688" y="1428751"/>
            <a:ext cx="542925" cy="3571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34925</xdr:colOff>
      <xdr:row>15</xdr:row>
      <xdr:rowOff>85725</xdr:rowOff>
    </xdr:from>
    <xdr:to>
      <xdr:col>6</xdr:col>
      <xdr:colOff>438150</xdr:colOff>
      <xdr:row>15</xdr:row>
      <xdr:rowOff>85725</xdr:rowOff>
    </xdr:to>
    <xdr:cxnSp macro="">
      <xdr:nvCxnSpPr>
        <xdr:cNvPr id="30" name="Straight Arrow Connector 29"/>
        <xdr:cNvCxnSpPr/>
      </xdr:nvCxnSpPr>
      <xdr:spPr>
        <a:xfrm>
          <a:off x="4857750" y="2638425"/>
          <a:ext cx="4032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7</xdr:row>
      <xdr:rowOff>80962</xdr:rowOff>
    </xdr:from>
    <xdr:to>
      <xdr:col>9</xdr:col>
      <xdr:colOff>590550</xdr:colOff>
      <xdr:row>11</xdr:row>
      <xdr:rowOff>95250</xdr:rowOff>
    </xdr:to>
    <xdr:grpSp>
      <xdr:nvGrpSpPr>
        <xdr:cNvPr id="2" name="Group 1"/>
        <xdr:cNvGrpSpPr/>
      </xdr:nvGrpSpPr>
      <xdr:grpSpPr>
        <a:xfrm>
          <a:off x="6201834" y="1266295"/>
          <a:ext cx="395288" cy="691622"/>
          <a:chOff x="7405688" y="1085850"/>
          <a:chExt cx="542925" cy="700088"/>
        </a:xfrm>
      </xdr:grpSpPr>
      <xdr:cxnSp macro="">
        <xdr:nvCxnSpPr>
          <xdr:cNvPr id="3" name="Straight Arrow Connector 2"/>
          <xdr:cNvCxnSpPr/>
        </xdr:nvCxnSpPr>
        <xdr:spPr>
          <a:xfrm flipV="1">
            <a:off x="7405688" y="1085850"/>
            <a:ext cx="538162" cy="32861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Straight Arrow Connector 3"/>
          <xdr:cNvCxnSpPr/>
        </xdr:nvCxnSpPr>
        <xdr:spPr>
          <a:xfrm>
            <a:off x="7405688" y="1428751"/>
            <a:ext cx="542925" cy="3571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28575</xdr:colOff>
      <xdr:row>9</xdr:row>
      <xdr:rowOff>100013</xdr:rowOff>
    </xdr:from>
    <xdr:to>
      <xdr:col>6</xdr:col>
      <xdr:colOff>571500</xdr:colOff>
      <xdr:row>13</xdr:row>
      <xdr:rowOff>114301</xdr:rowOff>
    </xdr:to>
    <xdr:grpSp>
      <xdr:nvGrpSpPr>
        <xdr:cNvPr id="5" name="Group 4"/>
        <xdr:cNvGrpSpPr/>
      </xdr:nvGrpSpPr>
      <xdr:grpSpPr>
        <a:xfrm>
          <a:off x="4849284" y="1624013"/>
          <a:ext cx="414338" cy="691621"/>
          <a:chOff x="7405688" y="1085850"/>
          <a:chExt cx="542925" cy="700088"/>
        </a:xfrm>
      </xdr:grpSpPr>
      <xdr:cxnSp macro="">
        <xdr:nvCxnSpPr>
          <xdr:cNvPr id="6" name="Straight Arrow Connector 5"/>
          <xdr:cNvCxnSpPr/>
        </xdr:nvCxnSpPr>
        <xdr:spPr>
          <a:xfrm flipV="1">
            <a:off x="7405688" y="1085850"/>
            <a:ext cx="538162" cy="32861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Straight Arrow Connector 6"/>
          <xdr:cNvCxnSpPr/>
        </xdr:nvCxnSpPr>
        <xdr:spPr>
          <a:xfrm>
            <a:off x="7405688" y="1428751"/>
            <a:ext cx="542925" cy="3571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19050</xdr:colOff>
      <xdr:row>11</xdr:row>
      <xdr:rowOff>90487</xdr:rowOff>
    </xdr:from>
    <xdr:to>
      <xdr:col>3</xdr:col>
      <xdr:colOff>561975</xdr:colOff>
      <xdr:row>15</xdr:row>
      <xdr:rowOff>104775</xdr:rowOff>
    </xdr:to>
    <xdr:grpSp>
      <xdr:nvGrpSpPr>
        <xdr:cNvPr id="8" name="Group 7"/>
        <xdr:cNvGrpSpPr/>
      </xdr:nvGrpSpPr>
      <xdr:grpSpPr>
        <a:xfrm>
          <a:off x="3506259" y="1953154"/>
          <a:ext cx="423863" cy="691621"/>
          <a:chOff x="7405688" y="1085850"/>
          <a:chExt cx="542925" cy="700088"/>
        </a:xfrm>
      </xdr:grpSpPr>
      <xdr:cxnSp macro="">
        <xdr:nvCxnSpPr>
          <xdr:cNvPr id="9" name="Straight Arrow Connector 8"/>
          <xdr:cNvCxnSpPr/>
        </xdr:nvCxnSpPr>
        <xdr:spPr>
          <a:xfrm flipV="1">
            <a:off x="7405688" y="1085850"/>
            <a:ext cx="538162" cy="32861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Straight Arrow Connector 9"/>
          <xdr:cNvCxnSpPr/>
        </xdr:nvCxnSpPr>
        <xdr:spPr>
          <a:xfrm>
            <a:off x="7405688" y="1428751"/>
            <a:ext cx="542925" cy="3571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34925</xdr:colOff>
      <xdr:row>15</xdr:row>
      <xdr:rowOff>85725</xdr:rowOff>
    </xdr:from>
    <xdr:to>
      <xdr:col>6</xdr:col>
      <xdr:colOff>438150</xdr:colOff>
      <xdr:row>15</xdr:row>
      <xdr:rowOff>85725</xdr:rowOff>
    </xdr:to>
    <xdr:cxnSp macro="">
      <xdr:nvCxnSpPr>
        <xdr:cNvPr id="29" name="Straight Arrow Connector 28"/>
        <xdr:cNvCxnSpPr/>
      </xdr:nvCxnSpPr>
      <xdr:spPr>
        <a:xfrm>
          <a:off x="4849813" y="2628900"/>
          <a:ext cx="4032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7</xdr:row>
      <xdr:rowOff>80962</xdr:rowOff>
    </xdr:from>
    <xdr:to>
      <xdr:col>9</xdr:col>
      <xdr:colOff>590550</xdr:colOff>
      <xdr:row>11</xdr:row>
      <xdr:rowOff>95250</xdr:rowOff>
    </xdr:to>
    <xdr:grpSp>
      <xdr:nvGrpSpPr>
        <xdr:cNvPr id="22" name="Group 21"/>
        <xdr:cNvGrpSpPr/>
      </xdr:nvGrpSpPr>
      <xdr:grpSpPr>
        <a:xfrm>
          <a:off x="6201834" y="1266295"/>
          <a:ext cx="395288" cy="691622"/>
          <a:chOff x="7405688" y="1085850"/>
          <a:chExt cx="542925" cy="700088"/>
        </a:xfrm>
      </xdr:grpSpPr>
      <xdr:cxnSp macro="">
        <xdr:nvCxnSpPr>
          <xdr:cNvPr id="3" name="Straight Arrow Connector 2"/>
          <xdr:cNvCxnSpPr/>
        </xdr:nvCxnSpPr>
        <xdr:spPr>
          <a:xfrm flipV="1">
            <a:off x="7405688" y="1085850"/>
            <a:ext cx="538162" cy="32861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Straight Arrow Connector 5"/>
          <xdr:cNvCxnSpPr/>
        </xdr:nvCxnSpPr>
        <xdr:spPr>
          <a:xfrm>
            <a:off x="7405688" y="1428751"/>
            <a:ext cx="542925" cy="3571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28575</xdr:colOff>
      <xdr:row>9</xdr:row>
      <xdr:rowOff>100013</xdr:rowOff>
    </xdr:from>
    <xdr:to>
      <xdr:col>6</xdr:col>
      <xdr:colOff>571500</xdr:colOff>
      <xdr:row>13</xdr:row>
      <xdr:rowOff>114301</xdr:rowOff>
    </xdr:to>
    <xdr:grpSp>
      <xdr:nvGrpSpPr>
        <xdr:cNvPr id="23" name="Group 22"/>
        <xdr:cNvGrpSpPr/>
      </xdr:nvGrpSpPr>
      <xdr:grpSpPr>
        <a:xfrm>
          <a:off x="4849284" y="1624013"/>
          <a:ext cx="414338" cy="691621"/>
          <a:chOff x="7405688" y="1085850"/>
          <a:chExt cx="542925" cy="700088"/>
        </a:xfrm>
      </xdr:grpSpPr>
      <xdr:cxnSp macro="">
        <xdr:nvCxnSpPr>
          <xdr:cNvPr id="24" name="Straight Arrow Connector 23"/>
          <xdr:cNvCxnSpPr/>
        </xdr:nvCxnSpPr>
        <xdr:spPr>
          <a:xfrm flipV="1">
            <a:off x="7405688" y="1085850"/>
            <a:ext cx="538162" cy="32861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Straight Arrow Connector 24"/>
          <xdr:cNvCxnSpPr/>
        </xdr:nvCxnSpPr>
        <xdr:spPr>
          <a:xfrm>
            <a:off x="7405688" y="1428751"/>
            <a:ext cx="542925" cy="3571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19050</xdr:colOff>
      <xdr:row>11</xdr:row>
      <xdr:rowOff>90487</xdr:rowOff>
    </xdr:from>
    <xdr:to>
      <xdr:col>3</xdr:col>
      <xdr:colOff>561975</xdr:colOff>
      <xdr:row>15</xdr:row>
      <xdr:rowOff>104775</xdr:rowOff>
    </xdr:to>
    <xdr:grpSp>
      <xdr:nvGrpSpPr>
        <xdr:cNvPr id="26" name="Group 25"/>
        <xdr:cNvGrpSpPr/>
      </xdr:nvGrpSpPr>
      <xdr:grpSpPr>
        <a:xfrm>
          <a:off x="3506259" y="1953154"/>
          <a:ext cx="423863" cy="691621"/>
          <a:chOff x="7405688" y="1085850"/>
          <a:chExt cx="542925" cy="700088"/>
        </a:xfrm>
      </xdr:grpSpPr>
      <xdr:cxnSp macro="">
        <xdr:nvCxnSpPr>
          <xdr:cNvPr id="27" name="Straight Arrow Connector 26"/>
          <xdr:cNvCxnSpPr/>
        </xdr:nvCxnSpPr>
        <xdr:spPr>
          <a:xfrm flipV="1">
            <a:off x="7405688" y="1085850"/>
            <a:ext cx="538162" cy="32861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Straight Arrow Connector 27"/>
          <xdr:cNvCxnSpPr/>
        </xdr:nvCxnSpPr>
        <xdr:spPr>
          <a:xfrm>
            <a:off x="7405688" y="1428751"/>
            <a:ext cx="542925" cy="3571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7</xdr:row>
      <xdr:rowOff>80962</xdr:rowOff>
    </xdr:from>
    <xdr:to>
      <xdr:col>9</xdr:col>
      <xdr:colOff>590550</xdr:colOff>
      <xdr:row>11</xdr:row>
      <xdr:rowOff>95250</xdr:rowOff>
    </xdr:to>
    <xdr:grpSp>
      <xdr:nvGrpSpPr>
        <xdr:cNvPr id="2" name="Group 1"/>
        <xdr:cNvGrpSpPr/>
      </xdr:nvGrpSpPr>
      <xdr:grpSpPr>
        <a:xfrm>
          <a:off x="6201834" y="1266295"/>
          <a:ext cx="395288" cy="691622"/>
          <a:chOff x="7405688" y="1085850"/>
          <a:chExt cx="542925" cy="700088"/>
        </a:xfrm>
      </xdr:grpSpPr>
      <xdr:cxnSp macro="">
        <xdr:nvCxnSpPr>
          <xdr:cNvPr id="3" name="Straight Arrow Connector 2"/>
          <xdr:cNvCxnSpPr/>
        </xdr:nvCxnSpPr>
        <xdr:spPr>
          <a:xfrm flipV="1">
            <a:off x="7405688" y="1085850"/>
            <a:ext cx="538162" cy="32861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Straight Arrow Connector 3"/>
          <xdr:cNvCxnSpPr/>
        </xdr:nvCxnSpPr>
        <xdr:spPr>
          <a:xfrm>
            <a:off x="7405688" y="1428751"/>
            <a:ext cx="542925" cy="3571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28575</xdr:colOff>
      <xdr:row>9</xdr:row>
      <xdr:rowOff>100013</xdr:rowOff>
    </xdr:from>
    <xdr:to>
      <xdr:col>6</xdr:col>
      <xdr:colOff>571500</xdr:colOff>
      <xdr:row>13</xdr:row>
      <xdr:rowOff>114301</xdr:rowOff>
    </xdr:to>
    <xdr:grpSp>
      <xdr:nvGrpSpPr>
        <xdr:cNvPr id="5" name="Group 4"/>
        <xdr:cNvGrpSpPr/>
      </xdr:nvGrpSpPr>
      <xdr:grpSpPr>
        <a:xfrm>
          <a:off x="4849284" y="1624013"/>
          <a:ext cx="414338" cy="691621"/>
          <a:chOff x="7405688" y="1085850"/>
          <a:chExt cx="542925" cy="700088"/>
        </a:xfrm>
      </xdr:grpSpPr>
      <xdr:cxnSp macro="">
        <xdr:nvCxnSpPr>
          <xdr:cNvPr id="6" name="Straight Arrow Connector 5"/>
          <xdr:cNvCxnSpPr/>
        </xdr:nvCxnSpPr>
        <xdr:spPr>
          <a:xfrm flipV="1">
            <a:off x="7405688" y="1085850"/>
            <a:ext cx="538162" cy="32861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Straight Arrow Connector 6"/>
          <xdr:cNvCxnSpPr/>
        </xdr:nvCxnSpPr>
        <xdr:spPr>
          <a:xfrm>
            <a:off x="7405688" y="1428751"/>
            <a:ext cx="542925" cy="3571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19050</xdr:colOff>
      <xdr:row>11</xdr:row>
      <xdr:rowOff>90487</xdr:rowOff>
    </xdr:from>
    <xdr:to>
      <xdr:col>3</xdr:col>
      <xdr:colOff>561975</xdr:colOff>
      <xdr:row>15</xdr:row>
      <xdr:rowOff>104775</xdr:rowOff>
    </xdr:to>
    <xdr:grpSp>
      <xdr:nvGrpSpPr>
        <xdr:cNvPr id="8" name="Group 7"/>
        <xdr:cNvGrpSpPr/>
      </xdr:nvGrpSpPr>
      <xdr:grpSpPr>
        <a:xfrm>
          <a:off x="3506259" y="1953154"/>
          <a:ext cx="423863" cy="691621"/>
          <a:chOff x="7405688" y="1085850"/>
          <a:chExt cx="542925" cy="700088"/>
        </a:xfrm>
      </xdr:grpSpPr>
      <xdr:cxnSp macro="">
        <xdr:nvCxnSpPr>
          <xdr:cNvPr id="9" name="Straight Arrow Connector 8"/>
          <xdr:cNvCxnSpPr/>
        </xdr:nvCxnSpPr>
        <xdr:spPr>
          <a:xfrm flipV="1">
            <a:off x="7405688" y="1085850"/>
            <a:ext cx="538162" cy="32861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Straight Arrow Connector 9"/>
          <xdr:cNvCxnSpPr/>
        </xdr:nvCxnSpPr>
        <xdr:spPr>
          <a:xfrm>
            <a:off x="7405688" y="1428751"/>
            <a:ext cx="542925" cy="3571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7</xdr:row>
      <xdr:rowOff>80962</xdr:rowOff>
    </xdr:from>
    <xdr:to>
      <xdr:col>9</xdr:col>
      <xdr:colOff>590550</xdr:colOff>
      <xdr:row>11</xdr:row>
      <xdr:rowOff>95250</xdr:rowOff>
    </xdr:to>
    <xdr:grpSp>
      <xdr:nvGrpSpPr>
        <xdr:cNvPr id="2" name="Group 1"/>
        <xdr:cNvGrpSpPr/>
      </xdr:nvGrpSpPr>
      <xdr:grpSpPr>
        <a:xfrm>
          <a:off x="6201834" y="1266295"/>
          <a:ext cx="395288" cy="691622"/>
          <a:chOff x="7405688" y="1085850"/>
          <a:chExt cx="542925" cy="700088"/>
        </a:xfrm>
      </xdr:grpSpPr>
      <xdr:cxnSp macro="">
        <xdr:nvCxnSpPr>
          <xdr:cNvPr id="3" name="Straight Arrow Connector 2"/>
          <xdr:cNvCxnSpPr/>
        </xdr:nvCxnSpPr>
        <xdr:spPr>
          <a:xfrm flipV="1">
            <a:off x="7405688" y="1085850"/>
            <a:ext cx="538162" cy="32861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Straight Arrow Connector 3"/>
          <xdr:cNvCxnSpPr/>
        </xdr:nvCxnSpPr>
        <xdr:spPr>
          <a:xfrm>
            <a:off x="7405688" y="1428751"/>
            <a:ext cx="542925" cy="3571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28575</xdr:colOff>
      <xdr:row>9</xdr:row>
      <xdr:rowOff>100013</xdr:rowOff>
    </xdr:from>
    <xdr:to>
      <xdr:col>6</xdr:col>
      <xdr:colOff>571500</xdr:colOff>
      <xdr:row>13</xdr:row>
      <xdr:rowOff>114301</xdr:rowOff>
    </xdr:to>
    <xdr:grpSp>
      <xdr:nvGrpSpPr>
        <xdr:cNvPr id="5" name="Group 4"/>
        <xdr:cNvGrpSpPr/>
      </xdr:nvGrpSpPr>
      <xdr:grpSpPr>
        <a:xfrm>
          <a:off x="4849284" y="1624013"/>
          <a:ext cx="414338" cy="691621"/>
          <a:chOff x="7405688" y="1085850"/>
          <a:chExt cx="542925" cy="700088"/>
        </a:xfrm>
      </xdr:grpSpPr>
      <xdr:cxnSp macro="">
        <xdr:nvCxnSpPr>
          <xdr:cNvPr id="6" name="Straight Arrow Connector 5"/>
          <xdr:cNvCxnSpPr/>
        </xdr:nvCxnSpPr>
        <xdr:spPr>
          <a:xfrm flipV="1">
            <a:off x="7405688" y="1085850"/>
            <a:ext cx="538162" cy="32861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Straight Arrow Connector 6"/>
          <xdr:cNvCxnSpPr/>
        </xdr:nvCxnSpPr>
        <xdr:spPr>
          <a:xfrm>
            <a:off x="7405688" y="1428751"/>
            <a:ext cx="542925" cy="3571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19050</xdr:colOff>
      <xdr:row>11</xdr:row>
      <xdr:rowOff>90487</xdr:rowOff>
    </xdr:from>
    <xdr:to>
      <xdr:col>3</xdr:col>
      <xdr:colOff>561975</xdr:colOff>
      <xdr:row>15</xdr:row>
      <xdr:rowOff>104775</xdr:rowOff>
    </xdr:to>
    <xdr:grpSp>
      <xdr:nvGrpSpPr>
        <xdr:cNvPr id="8" name="Group 7"/>
        <xdr:cNvGrpSpPr/>
      </xdr:nvGrpSpPr>
      <xdr:grpSpPr>
        <a:xfrm>
          <a:off x="3506259" y="1953154"/>
          <a:ext cx="423863" cy="691621"/>
          <a:chOff x="7405688" y="1085850"/>
          <a:chExt cx="542925" cy="700088"/>
        </a:xfrm>
      </xdr:grpSpPr>
      <xdr:cxnSp macro="">
        <xdr:nvCxnSpPr>
          <xdr:cNvPr id="9" name="Straight Arrow Connector 8"/>
          <xdr:cNvCxnSpPr/>
        </xdr:nvCxnSpPr>
        <xdr:spPr>
          <a:xfrm flipV="1">
            <a:off x="7405688" y="1085850"/>
            <a:ext cx="538162" cy="32861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Straight Arrow Connector 9"/>
          <xdr:cNvCxnSpPr/>
        </xdr:nvCxnSpPr>
        <xdr:spPr>
          <a:xfrm>
            <a:off x="7405688" y="1428751"/>
            <a:ext cx="542925" cy="35718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Cardinal Economics &amp; Finan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F3340"/>
      </a:accent1>
      <a:accent2>
        <a:srgbClr val="BF0D3E"/>
      </a:accent2>
      <a:accent3>
        <a:srgbClr val="8A1538"/>
      </a:accent3>
      <a:accent4>
        <a:srgbClr val="75787B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6"/>
  <sheetViews>
    <sheetView tabSelected="1" workbookViewId="0">
      <selection activeCell="D12" sqref="D12"/>
    </sheetView>
  </sheetViews>
  <sheetFormatPr defaultRowHeight="13.15" x14ac:dyDescent="0.4"/>
  <cols>
    <col min="1" max="1" width="0.85546875" style="5" customWidth="1"/>
    <col min="2" max="2" width="83.28515625" style="5" bestFit="1" customWidth="1"/>
    <col min="3" max="16384" width="9.140625" style="5"/>
  </cols>
  <sheetData>
    <row r="1" spans="2:3" ht="9.4" customHeight="1" x14ac:dyDescent="0.4"/>
    <row r="2" spans="2:3" x14ac:dyDescent="0.4">
      <c r="B2" s="17" t="s">
        <v>27</v>
      </c>
      <c r="C2" s="22">
        <v>1</v>
      </c>
    </row>
    <row r="3" spans="2:3" x14ac:dyDescent="0.4">
      <c r="B3" s="6"/>
      <c r="C3" s="6"/>
    </row>
    <row r="4" spans="2:3" x14ac:dyDescent="0.4">
      <c r="B4" s="6" t="s">
        <v>20</v>
      </c>
    </row>
    <row r="5" spans="2:3" x14ac:dyDescent="0.4">
      <c r="B5" s="5" t="s">
        <v>21</v>
      </c>
      <c r="C5" s="26">
        <f>DrTreeNoOptions!C14</f>
        <v>-29.355603727230083</v>
      </c>
    </row>
    <row r="6" spans="2:3" x14ac:dyDescent="0.4">
      <c r="B6" s="5" t="s">
        <v>32</v>
      </c>
      <c r="C6" s="38">
        <f>C7-C5</f>
        <v>57.491507444814637</v>
      </c>
    </row>
    <row r="7" spans="2:3" x14ac:dyDescent="0.4">
      <c r="B7" s="5" t="s">
        <v>34</v>
      </c>
      <c r="C7" s="41">
        <f>DrTreeDTA!C14</f>
        <v>28.135903717584554</v>
      </c>
    </row>
    <row r="8" spans="2:3" x14ac:dyDescent="0.4">
      <c r="B8" s="5" t="s">
        <v>22</v>
      </c>
      <c r="C8" s="21">
        <f>Assump!$C$3</f>
        <v>0.12</v>
      </c>
    </row>
    <row r="9" spans="2:3" x14ac:dyDescent="0.4">
      <c r="B9" s="5" t="s">
        <v>23</v>
      </c>
      <c r="C9" s="21">
        <f>(1+C8)/(1+Assump!$C$6)-1</f>
        <v>9.8039215686274606E-2</v>
      </c>
    </row>
    <row r="11" spans="2:3" x14ac:dyDescent="0.4">
      <c r="B11" s="6" t="s">
        <v>24</v>
      </c>
    </row>
    <row r="12" spans="2:3" x14ac:dyDescent="0.4">
      <c r="B12" s="5" t="s">
        <v>21</v>
      </c>
      <c r="C12" s="26">
        <f>DrTreeNoOptionsRN!C14</f>
        <v>-29.355603727230111</v>
      </c>
    </row>
    <row r="13" spans="2:3" x14ac:dyDescent="0.4">
      <c r="B13" s="5" t="s">
        <v>31</v>
      </c>
      <c r="C13" s="38">
        <f>C14-C12</f>
        <v>71.247671020732724</v>
      </c>
    </row>
    <row r="14" spans="2:3" x14ac:dyDescent="0.4">
      <c r="B14" s="5" t="s">
        <v>33</v>
      </c>
      <c r="C14" s="41">
        <f>DrTreeROA!C14</f>
        <v>41.892067293502606</v>
      </c>
    </row>
    <row r="15" spans="2:3" x14ac:dyDescent="0.4">
      <c r="B15" s="5" t="s">
        <v>25</v>
      </c>
      <c r="C15" s="21">
        <f>DrTreeDTADiscRateEst!C4</f>
        <v>9.7414841278417888E-2</v>
      </c>
    </row>
    <row r="16" spans="2:3" x14ac:dyDescent="0.4">
      <c r="B16" s="5" t="s">
        <v>26</v>
      </c>
      <c r="C16" s="21">
        <f>(1+C15)/(1+Assump!$C$6)-1</f>
        <v>7.5896903214135225E-2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0"/>
  <sheetViews>
    <sheetView zoomScale="90" zoomScaleNormal="90" workbookViewId="0">
      <selection activeCell="B14" sqref="B14"/>
    </sheetView>
  </sheetViews>
  <sheetFormatPr defaultRowHeight="13.15" x14ac:dyDescent="0.4"/>
  <cols>
    <col min="1" max="1" width="1.85546875" style="1" customWidth="1"/>
    <col min="2" max="2" width="38.7109375" style="1" bestFit="1" customWidth="1"/>
    <col min="3" max="6" width="9.140625" style="1"/>
    <col min="7" max="7" width="10.78515625" style="1" bestFit="1" customWidth="1"/>
    <col min="8" max="16384" width="9.140625" style="1"/>
  </cols>
  <sheetData>
    <row r="2" spans="2:5" x14ac:dyDescent="0.4">
      <c r="B2" s="7" t="s">
        <v>0</v>
      </c>
    </row>
    <row r="3" spans="2:5" x14ac:dyDescent="0.4">
      <c r="B3" s="5" t="s">
        <v>16</v>
      </c>
      <c r="C3" s="4">
        <v>0.12</v>
      </c>
    </row>
    <row r="4" spans="2:5" x14ac:dyDescent="0.4">
      <c r="B4" s="5" t="s">
        <v>17</v>
      </c>
      <c r="C4" s="19">
        <f>(1+C3)/(1+C6)-1</f>
        <v>9.8039215686274606E-2</v>
      </c>
    </row>
    <row r="5" spans="2:5" x14ac:dyDescent="0.4">
      <c r="B5" s="5" t="s">
        <v>15</v>
      </c>
      <c r="C5" s="4">
        <v>0.03</v>
      </c>
    </row>
    <row r="6" spans="2:5" x14ac:dyDescent="0.4">
      <c r="B6" s="5" t="s">
        <v>14</v>
      </c>
      <c r="C6" s="4">
        <v>0.02</v>
      </c>
    </row>
    <row r="7" spans="2:5" x14ac:dyDescent="0.4">
      <c r="B7" s="5"/>
    </row>
    <row r="8" spans="2:5" x14ac:dyDescent="0.4">
      <c r="B8" s="6" t="s">
        <v>1</v>
      </c>
    </row>
    <row r="9" spans="2:5" x14ac:dyDescent="0.4">
      <c r="B9" s="5" t="s">
        <v>9</v>
      </c>
      <c r="C9" s="43">
        <v>1167.3404193148206</v>
      </c>
    </row>
    <row r="10" spans="2:5" x14ac:dyDescent="0.4">
      <c r="B10" s="6"/>
    </row>
    <row r="11" spans="2:5" x14ac:dyDescent="0.4">
      <c r="B11" s="11" t="s">
        <v>4</v>
      </c>
      <c r="C11" s="11">
        <v>2</v>
      </c>
      <c r="D11" s="11">
        <v>3</v>
      </c>
      <c r="E11" s="12" t="s">
        <v>8</v>
      </c>
    </row>
    <row r="12" spans="2:5" x14ac:dyDescent="0.4">
      <c r="B12" s="1" t="s">
        <v>5</v>
      </c>
      <c r="C12" s="2">
        <v>80</v>
      </c>
      <c r="D12" s="2">
        <v>100</v>
      </c>
      <c r="E12" s="2">
        <v>20</v>
      </c>
    </row>
    <row r="13" spans="2:5" x14ac:dyDescent="0.4">
      <c r="B13" s="1" t="s">
        <v>6</v>
      </c>
      <c r="C13" s="2">
        <v>2</v>
      </c>
      <c r="D13" s="2">
        <v>2</v>
      </c>
      <c r="E13" s="2">
        <v>1</v>
      </c>
    </row>
    <row r="14" spans="2:5" x14ac:dyDescent="0.4">
      <c r="B14" s="1" t="s">
        <v>7</v>
      </c>
      <c r="C14" s="8">
        <v>0.4</v>
      </c>
      <c r="D14" s="8">
        <v>0.6</v>
      </c>
      <c r="E14" s="3">
        <v>0.9</v>
      </c>
    </row>
    <row r="15" spans="2:5" x14ac:dyDescent="0.4">
      <c r="E15" s="13"/>
    </row>
    <row r="16" spans="2:5" x14ac:dyDescent="0.4">
      <c r="B16" s="6"/>
    </row>
    <row r="17" spans="2:5" x14ac:dyDescent="0.4">
      <c r="B17" s="5"/>
      <c r="C17" s="18"/>
    </row>
    <row r="18" spans="2:5" x14ac:dyDescent="0.4">
      <c r="B18" s="6"/>
    </row>
    <row r="19" spans="2:5" x14ac:dyDescent="0.4">
      <c r="B19" s="11"/>
      <c r="C19" s="11"/>
      <c r="D19" s="11"/>
      <c r="E19" s="12"/>
    </row>
    <row r="20" spans="2:5" x14ac:dyDescent="0.4">
      <c r="C20" s="2"/>
      <c r="D20" s="2"/>
      <c r="E20" s="2"/>
    </row>
    <row r="21" spans="2:5" x14ac:dyDescent="0.4">
      <c r="C21" s="2"/>
      <c r="D21" s="2"/>
      <c r="E21" s="2"/>
    </row>
    <row r="22" spans="2:5" x14ac:dyDescent="0.4">
      <c r="C22" s="8"/>
      <c r="D22" s="8"/>
      <c r="E22" s="3"/>
    </row>
    <row r="24" spans="2:5" x14ac:dyDescent="0.4">
      <c r="B24" s="6"/>
    </row>
    <row r="25" spans="2:5" x14ac:dyDescent="0.4">
      <c r="B25" s="5"/>
      <c r="C25" s="18"/>
    </row>
    <row r="26" spans="2:5" x14ac:dyDescent="0.4">
      <c r="B26" s="6"/>
    </row>
    <row r="27" spans="2:5" x14ac:dyDescent="0.4">
      <c r="B27" s="11"/>
      <c r="C27" s="11"/>
      <c r="D27" s="11"/>
      <c r="E27" s="12"/>
    </row>
    <row r="28" spans="2:5" x14ac:dyDescent="0.4">
      <c r="C28" s="2"/>
      <c r="D28" s="2"/>
      <c r="E28" s="2"/>
    </row>
    <row r="29" spans="2:5" x14ac:dyDescent="0.4">
      <c r="C29" s="2"/>
      <c r="D29" s="2"/>
      <c r="E29" s="2"/>
    </row>
    <row r="30" spans="2:5" x14ac:dyDescent="0.4">
      <c r="C30" s="8"/>
      <c r="D30" s="8"/>
      <c r="E30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9"/>
  <sheetViews>
    <sheetView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3.15" x14ac:dyDescent="0.4"/>
  <cols>
    <col min="1" max="1" width="9.140625" style="5"/>
    <col min="2" max="2" width="36.5" style="5" bestFit="1" customWidth="1"/>
    <col min="3" max="3" width="6.640625" style="26" customWidth="1"/>
    <col min="4" max="5" width="6.640625" style="5" customWidth="1"/>
    <col min="6" max="6" width="6.640625" style="26" customWidth="1"/>
    <col min="7" max="8" width="6.640625" style="5" customWidth="1"/>
    <col min="9" max="9" width="6.640625" style="26" customWidth="1"/>
    <col min="10" max="11" width="6.640625" style="5" customWidth="1"/>
    <col min="12" max="12" width="6.640625" style="26" customWidth="1"/>
    <col min="13" max="17" width="9.140625" style="5"/>
    <col min="18" max="18" width="9.140625" style="20"/>
    <col min="19" max="19" width="6.28515625" style="20" bestFit="1" customWidth="1"/>
    <col min="20" max="16384" width="9.140625" style="5"/>
  </cols>
  <sheetData>
    <row r="2" spans="2:19" x14ac:dyDescent="0.4">
      <c r="C2" s="24" t="s">
        <v>11</v>
      </c>
      <c r="E2" s="25" t="s">
        <v>2</v>
      </c>
      <c r="H2" s="24" t="s">
        <v>3</v>
      </c>
      <c r="K2" s="24" t="s">
        <v>10</v>
      </c>
    </row>
    <row r="3" spans="2:19" x14ac:dyDescent="0.4">
      <c r="B3" s="6"/>
    </row>
    <row r="4" spans="2:19" x14ac:dyDescent="0.4">
      <c r="B4" s="5" t="s">
        <v>28</v>
      </c>
      <c r="C4" s="15">
        <f>Assump!$C$3</f>
        <v>0.12</v>
      </c>
    </row>
    <row r="5" spans="2:19" s="26" customFormat="1" x14ac:dyDescent="0.4">
      <c r="B5" s="26" t="s">
        <v>18</v>
      </c>
      <c r="C5" s="26">
        <v>0</v>
      </c>
      <c r="E5" s="26">
        <f>Assump!C13</f>
        <v>2</v>
      </c>
      <c r="H5" s="26">
        <f>E5+Assump!D13</f>
        <v>4</v>
      </c>
      <c r="K5" s="26">
        <f>H5+Assump!E13</f>
        <v>5</v>
      </c>
      <c r="R5" s="20"/>
      <c r="S5" s="20"/>
    </row>
    <row r="6" spans="2:19" s="26" customFormat="1" x14ac:dyDescent="0.4">
      <c r="B6" s="26" t="s">
        <v>19</v>
      </c>
      <c r="C6" s="26">
        <v>0</v>
      </c>
      <c r="E6" s="26">
        <f>E5-C5</f>
        <v>2</v>
      </c>
      <c r="H6" s="26">
        <f>H5-E5</f>
        <v>2</v>
      </c>
      <c r="K6" s="26">
        <f>K5-H5</f>
        <v>1</v>
      </c>
      <c r="R6" s="20"/>
      <c r="S6" s="20"/>
    </row>
    <row r="7" spans="2:19" ht="13.5" thickBot="1" x14ac:dyDescent="0.45"/>
    <row r="8" spans="2:19" ht="13.5" thickBot="1" x14ac:dyDescent="0.45">
      <c r="K8" s="27">
        <f>Assump!E14</f>
        <v>0.9</v>
      </c>
      <c r="L8" s="28">
        <f>Assump!$C$9</f>
        <v>1167.3404193148206</v>
      </c>
      <c r="Q8" s="30"/>
    </row>
    <row r="9" spans="2:19" ht="13.5" thickBot="1" x14ac:dyDescent="0.45"/>
    <row r="10" spans="2:19" ht="13.5" thickBot="1" x14ac:dyDescent="0.45">
      <c r="H10" s="27">
        <f>Assump!D14</f>
        <v>0.6</v>
      </c>
      <c r="I10" s="9">
        <f>L10/(1+C4)^K6-Assump!$E$12</f>
        <v>918.0414083779807</v>
      </c>
      <c r="L10" s="29">
        <f>L8*K8+L12*K12</f>
        <v>1050.6063773833384</v>
      </c>
      <c r="M10" s="30"/>
    </row>
    <row r="11" spans="2:19" ht="13.5" thickBot="1" x14ac:dyDescent="0.45"/>
    <row r="12" spans="2:19" ht="13.5" thickBot="1" x14ac:dyDescent="0.45">
      <c r="E12" s="31">
        <f>Assump!C14</f>
        <v>0.4</v>
      </c>
      <c r="F12" s="32">
        <f>I12/(1+C4)^H6-Assump!$D$12</f>
        <v>332.73664303793709</v>
      </c>
      <c r="I12" s="29">
        <f>H10*I10+H14*I14</f>
        <v>542.82484502678835</v>
      </c>
      <c r="K12" s="33">
        <f>1-K8</f>
        <v>9.9999999999999978E-2</v>
      </c>
      <c r="L12" s="9">
        <v>0</v>
      </c>
    </row>
    <row r="13" spans="2:19" ht="13.5" thickBot="1" x14ac:dyDescent="0.45"/>
    <row r="14" spans="2:19" ht="13.5" thickBot="1" x14ac:dyDescent="0.45">
      <c r="B14" s="34" t="s">
        <v>35</v>
      </c>
      <c r="C14" s="9">
        <f>F14/(1+C4)^E6-Assump!$C$12</f>
        <v>-29.355603727230083</v>
      </c>
      <c r="F14" s="29">
        <f>E12*F12+E16*F16</f>
        <v>63.52833068456259</v>
      </c>
      <c r="H14" s="33">
        <f>1-H10</f>
        <v>0.4</v>
      </c>
      <c r="I14" s="9">
        <f>0-Assump!$E$12</f>
        <v>-20</v>
      </c>
      <c r="M14" s="35"/>
    </row>
    <row r="15" spans="2:19" ht="13.5" thickBot="1" x14ac:dyDescent="0.45">
      <c r="I15" s="10"/>
    </row>
    <row r="16" spans="2:19" ht="13.5" thickBot="1" x14ac:dyDescent="0.45">
      <c r="E16" s="33">
        <f>1-E12</f>
        <v>0.6</v>
      </c>
      <c r="F16" s="32">
        <f>I16/(1+C4)^H6-Assump!$D$12</f>
        <v>-115.94387755102041</v>
      </c>
      <c r="H16" s="33">
        <v>1</v>
      </c>
      <c r="I16" s="9">
        <f>-Assump!E12</f>
        <v>-20</v>
      </c>
    </row>
    <row r="17" spans="2:12" x14ac:dyDescent="0.4">
      <c r="E17" s="36"/>
    </row>
    <row r="18" spans="2:12" x14ac:dyDescent="0.4">
      <c r="B18" s="5" t="s">
        <v>13</v>
      </c>
      <c r="E18" s="14">
        <f>E12</f>
        <v>0.4</v>
      </c>
      <c r="F18" s="16">
        <f>F12</f>
        <v>332.73664303793709</v>
      </c>
      <c r="G18" s="15"/>
      <c r="H18" s="15">
        <f>E18*H10</f>
        <v>0.24</v>
      </c>
      <c r="I18" s="16">
        <f>I10</f>
        <v>918.0414083779807</v>
      </c>
      <c r="J18" s="15"/>
      <c r="K18" s="15">
        <f>H18*K8</f>
        <v>0.216</v>
      </c>
      <c r="L18" s="26">
        <f>L8</f>
        <v>1167.3404193148206</v>
      </c>
    </row>
    <row r="19" spans="2:12" x14ac:dyDescent="0.4">
      <c r="B19" s="37" t="s">
        <v>12</v>
      </c>
      <c r="C19" s="38">
        <f>C14</f>
        <v>-29.355603727230083</v>
      </c>
      <c r="D19" s="37"/>
      <c r="E19" s="39"/>
      <c r="F19" s="38">
        <f>F14</f>
        <v>63.52833068456259</v>
      </c>
      <c r="G19" s="37"/>
      <c r="H19" s="37"/>
      <c r="I19" s="38">
        <f>E12*I12</f>
        <v>217.12993801071536</v>
      </c>
      <c r="J19" s="37"/>
      <c r="K19" s="37"/>
      <c r="L19" s="38">
        <f>E12*H10*L10</f>
        <v>252.14553057200121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9"/>
  <sheetViews>
    <sheetView zoomScale="90" zoomScaleNormal="90" workbookViewId="0">
      <pane xSplit="1" ySplit="2" topLeftCell="B3" activePane="bottomRight" state="frozen"/>
      <selection activeCell="G4" sqref="G4"/>
      <selection pane="topRight" activeCell="G4" sqref="G4"/>
      <selection pane="bottomLeft" activeCell="G4" sqref="G4"/>
      <selection pane="bottomRight" activeCell="B3" sqref="B3"/>
    </sheetView>
  </sheetViews>
  <sheetFormatPr defaultRowHeight="13.15" x14ac:dyDescent="0.4"/>
  <cols>
    <col min="1" max="1" width="9.140625" style="5"/>
    <col min="2" max="2" width="36.5" style="5" bestFit="1" customWidth="1"/>
    <col min="3" max="3" width="6.640625" style="26" customWidth="1"/>
    <col min="4" max="5" width="6.640625" style="5" customWidth="1"/>
    <col min="6" max="6" width="6.640625" style="26" customWidth="1"/>
    <col min="7" max="8" width="6.640625" style="5" customWidth="1"/>
    <col min="9" max="9" width="6.640625" style="26" customWidth="1"/>
    <col min="10" max="11" width="6.640625" style="5" customWidth="1"/>
    <col min="12" max="12" width="6.640625" style="26" customWidth="1"/>
    <col min="13" max="15" width="9.140625" style="5"/>
    <col min="16" max="16" width="9.35546875" style="5" bestFit="1" customWidth="1"/>
    <col min="17" max="17" width="9.140625" style="5"/>
    <col min="18" max="18" width="9.140625" style="20"/>
    <col min="19" max="19" width="6.28515625" style="20" bestFit="1" customWidth="1"/>
    <col min="20" max="16384" width="9.140625" style="5"/>
  </cols>
  <sheetData>
    <row r="2" spans="2:19" x14ac:dyDescent="0.4">
      <c r="C2" s="24" t="s">
        <v>11</v>
      </c>
      <c r="E2" s="25" t="s">
        <v>2</v>
      </c>
      <c r="H2" s="24" t="s">
        <v>3</v>
      </c>
      <c r="K2" s="24" t="s">
        <v>10</v>
      </c>
    </row>
    <row r="3" spans="2:19" x14ac:dyDescent="0.4">
      <c r="B3" s="6"/>
    </row>
    <row r="4" spans="2:19" x14ac:dyDescent="0.4">
      <c r="B4" s="5" t="s">
        <v>36</v>
      </c>
      <c r="C4" s="15">
        <f>Assump!$C$5</f>
        <v>0.03</v>
      </c>
    </row>
    <row r="5" spans="2:19" s="26" customFormat="1" x14ac:dyDescent="0.4">
      <c r="B5" s="26" t="s">
        <v>18</v>
      </c>
      <c r="C5" s="26">
        <v>0</v>
      </c>
      <c r="E5" s="26">
        <f>Assump!C13</f>
        <v>2</v>
      </c>
      <c r="H5" s="26">
        <f>E5+Assump!D13</f>
        <v>4</v>
      </c>
      <c r="K5" s="26">
        <f>H5+Assump!E13</f>
        <v>5</v>
      </c>
      <c r="R5" s="20"/>
      <c r="S5" s="20"/>
    </row>
    <row r="6" spans="2:19" s="26" customFormat="1" x14ac:dyDescent="0.4">
      <c r="B6" s="26" t="s">
        <v>19</v>
      </c>
      <c r="C6" s="26">
        <v>0</v>
      </c>
      <c r="E6" s="26">
        <f>E5-C5</f>
        <v>2</v>
      </c>
      <c r="H6" s="26">
        <f>H5-E5</f>
        <v>2</v>
      </c>
      <c r="K6" s="26">
        <f>K5-H5</f>
        <v>1</v>
      </c>
      <c r="R6" s="20"/>
      <c r="S6" s="20"/>
    </row>
    <row r="7" spans="2:19" ht="13.5" thickBot="1" x14ac:dyDescent="0.45"/>
    <row r="8" spans="2:19" ht="13.5" thickBot="1" x14ac:dyDescent="0.45">
      <c r="K8" s="27">
        <f>(DrTreeNoOptions!L10/(1+Assump!$C$3)^K6*(1+C4)^K6-DrTreeNoOptions!L12)/(DrTreeNoOptions!L8-DrTreeNoOptions!L12)</f>
        <v>0.82767857142857137</v>
      </c>
      <c r="L8" s="28">
        <f>Assump!$C$9</f>
        <v>1167.3404193148206</v>
      </c>
      <c r="Q8" s="30"/>
    </row>
    <row r="9" spans="2:19" ht="13.5" thickBot="1" x14ac:dyDescent="0.45"/>
    <row r="10" spans="2:19" ht="13.5" thickBot="1" x14ac:dyDescent="0.45">
      <c r="H10" s="27">
        <f>(DrTreeNoOptions!I12/(1+Assump!$C$3)^H6*(1+C4)^H6-DrTreeNoOptions!I14)/(DrTreeNoOptions!I10-DrTreeNoOptions!I14)</f>
        <v>0.51073470778584174</v>
      </c>
      <c r="I10" s="9">
        <f>L10/(1+C4)^K6-Assump!$E$12</f>
        <v>918.0414083779807</v>
      </c>
      <c r="L10" s="29">
        <f>L8*K8+L12*K12</f>
        <v>966.18265062932016</v>
      </c>
      <c r="M10" s="30"/>
    </row>
    <row r="11" spans="2:19" ht="13.5" thickBot="1" x14ac:dyDescent="0.45"/>
    <row r="12" spans="2:19" ht="13.5" thickBot="1" x14ac:dyDescent="0.45">
      <c r="E12" s="31">
        <f>(DrTreeNoOptions!F14/(1+Assump!$C$3)^E6*(1+C4)^E6-DrTreeNoOptions!F16)/(DrTreeNoOptions!F12-DrTreeNoOptions!F16)</f>
        <v>0.37815886754807743</v>
      </c>
      <c r="F12" s="32">
        <f>I12/(1+C4)^H6-Assump!$D$12</f>
        <v>332.73664303793703</v>
      </c>
      <c r="I12" s="29">
        <f>H10*I10+H14*I14</f>
        <v>459.0903045989474</v>
      </c>
      <c r="K12" s="33">
        <f>1-K8</f>
        <v>0.17232142857142863</v>
      </c>
      <c r="L12" s="9">
        <v>0</v>
      </c>
    </row>
    <row r="13" spans="2:19" ht="13.5" thickBot="1" x14ac:dyDescent="0.45"/>
    <row r="14" spans="2:19" ht="13.5" thickBot="1" x14ac:dyDescent="0.45">
      <c r="B14" s="34" t="s">
        <v>35</v>
      </c>
      <c r="C14" s="9">
        <f>F14/(1+C4)^E6-Assump!$C$12</f>
        <v>-29.355603727230111</v>
      </c>
      <c r="F14" s="29">
        <f>E12*F12+E16*F16</f>
        <v>53.728640005781571</v>
      </c>
      <c r="H14" s="33">
        <f>1-H10</f>
        <v>0.48926529221415826</v>
      </c>
      <c r="I14" s="9">
        <f>0-Assump!$E$12</f>
        <v>-20</v>
      </c>
      <c r="M14" s="35"/>
    </row>
    <row r="15" spans="2:19" ht="13.5" thickBot="1" x14ac:dyDescent="0.45">
      <c r="I15" s="10"/>
    </row>
    <row r="16" spans="2:19" ht="13.5" thickBot="1" x14ac:dyDescent="0.45">
      <c r="E16" s="33">
        <f>1-E12</f>
        <v>0.62184113245192263</v>
      </c>
      <c r="F16" s="32">
        <f>I16/(1+Assump!$C$3)^H6-Assump!$D$12</f>
        <v>-115.94387755102041</v>
      </c>
      <c r="H16" s="33">
        <v>1</v>
      </c>
      <c r="I16" s="9">
        <f>-Assump!E12</f>
        <v>-20</v>
      </c>
    </row>
    <row r="17" spans="2:12" x14ac:dyDescent="0.4">
      <c r="E17" s="36"/>
    </row>
    <row r="18" spans="2:12" x14ac:dyDescent="0.4">
      <c r="B18" s="5" t="s">
        <v>13</v>
      </c>
      <c r="E18" s="14">
        <f>E12</f>
        <v>0.37815886754807743</v>
      </c>
      <c r="F18" s="16">
        <f>F12</f>
        <v>332.73664303793703</v>
      </c>
      <c r="G18" s="15"/>
      <c r="H18" s="15">
        <f>E18*H10</f>
        <v>0.19313885871379216</v>
      </c>
      <c r="I18" s="16">
        <f>I10</f>
        <v>918.0414083779807</v>
      </c>
      <c r="J18" s="15"/>
      <c r="K18" s="15">
        <f>H18*K8</f>
        <v>0.15985689466757619</v>
      </c>
      <c r="L18" s="26">
        <f>L8</f>
        <v>1167.3404193148206</v>
      </c>
    </row>
    <row r="19" spans="2:12" x14ac:dyDescent="0.4">
      <c r="B19" s="37" t="s">
        <v>12</v>
      </c>
      <c r="C19" s="38">
        <f>C14</f>
        <v>-29.355603727230111</v>
      </c>
      <c r="D19" s="37"/>
      <c r="E19" s="39"/>
      <c r="F19" s="38">
        <f>F14</f>
        <v>53.728640005781571</v>
      </c>
      <c r="G19" s="37"/>
      <c r="H19" s="37"/>
      <c r="I19" s="38">
        <f>E12*I12</f>
        <v>173.60906968943988</v>
      </c>
      <c r="J19" s="37"/>
      <c r="K19" s="37"/>
      <c r="L19" s="38">
        <f>E12*H10*L10</f>
        <v>186.60741445161349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9"/>
  <sheetViews>
    <sheetView zoomScale="90" zoomScaleNormal="90" workbookViewId="0">
      <pane xSplit="1" ySplit="2" topLeftCell="B3" activePane="bottomRight" state="frozen"/>
      <selection activeCell="G4" sqref="G4"/>
      <selection pane="topRight" activeCell="G4" sqref="G4"/>
      <selection pane="bottomLeft" activeCell="G4" sqref="G4"/>
      <selection pane="bottomRight" activeCell="B3" sqref="B3"/>
    </sheetView>
  </sheetViews>
  <sheetFormatPr defaultRowHeight="13.15" x14ac:dyDescent="0.4"/>
  <cols>
    <col min="1" max="1" width="9.140625" style="5"/>
    <col min="2" max="2" width="36.5" style="5" bestFit="1" customWidth="1"/>
    <col min="3" max="3" width="6.640625" style="26" customWidth="1"/>
    <col min="4" max="5" width="6.640625" style="5" customWidth="1"/>
    <col min="6" max="6" width="6.640625" style="26" customWidth="1"/>
    <col min="7" max="8" width="6.640625" style="5" customWidth="1"/>
    <col min="9" max="9" width="6.640625" style="26" customWidth="1"/>
    <col min="10" max="11" width="6.640625" style="5" customWidth="1"/>
    <col min="12" max="12" width="6.640625" style="26" customWidth="1"/>
    <col min="13" max="15" width="9.140625" style="5"/>
    <col min="16" max="16" width="9.35546875" style="5" bestFit="1" customWidth="1"/>
    <col min="17" max="17" width="9.140625" style="5"/>
    <col min="18" max="18" width="9.140625" style="20"/>
    <col min="19" max="19" width="6.28515625" style="20" bestFit="1" customWidth="1"/>
    <col min="20" max="16384" width="9.140625" style="5"/>
  </cols>
  <sheetData>
    <row r="2" spans="2:19" x14ac:dyDescent="0.4">
      <c r="C2" s="24" t="s">
        <v>11</v>
      </c>
      <c r="E2" s="25" t="s">
        <v>2</v>
      </c>
      <c r="H2" s="24" t="s">
        <v>3</v>
      </c>
      <c r="K2" s="24" t="s">
        <v>10</v>
      </c>
    </row>
    <row r="3" spans="2:19" x14ac:dyDescent="0.4">
      <c r="B3" s="6"/>
    </row>
    <row r="4" spans="2:19" x14ac:dyDescent="0.4">
      <c r="B4" s="5" t="s">
        <v>28</v>
      </c>
      <c r="C4" s="15">
        <f>Assump!$C$3</f>
        <v>0.12</v>
      </c>
    </row>
    <row r="5" spans="2:19" s="26" customFormat="1" x14ac:dyDescent="0.4">
      <c r="B5" s="26" t="s">
        <v>18</v>
      </c>
      <c r="C5" s="26">
        <v>0</v>
      </c>
      <c r="E5" s="26">
        <f>Assump!C13</f>
        <v>2</v>
      </c>
      <c r="H5" s="26">
        <f>E5+Assump!D13</f>
        <v>4</v>
      </c>
      <c r="K5" s="26">
        <f>H5+Assump!E13</f>
        <v>5</v>
      </c>
      <c r="R5" s="20"/>
      <c r="S5" s="20"/>
    </row>
    <row r="6" spans="2:19" s="26" customFormat="1" x14ac:dyDescent="0.4">
      <c r="B6" s="26" t="s">
        <v>19</v>
      </c>
      <c r="C6" s="26">
        <f>C5</f>
        <v>0</v>
      </c>
      <c r="E6" s="26">
        <f>E5-C6</f>
        <v>2</v>
      </c>
      <c r="H6" s="26">
        <f>H5-E5</f>
        <v>2</v>
      </c>
      <c r="K6" s="26">
        <f>K5-H5</f>
        <v>1</v>
      </c>
      <c r="R6" s="20"/>
      <c r="S6" s="20"/>
    </row>
    <row r="7" spans="2:19" ht="13.5" thickBot="1" x14ac:dyDescent="0.45"/>
    <row r="8" spans="2:19" ht="13.5" thickBot="1" x14ac:dyDescent="0.45">
      <c r="K8" s="27">
        <f>Assump!E14</f>
        <v>0.9</v>
      </c>
      <c r="L8" s="28">
        <f>Assump!C9</f>
        <v>1167.3404193148206</v>
      </c>
      <c r="Q8" s="30"/>
    </row>
    <row r="9" spans="2:19" ht="13.5" thickBot="1" x14ac:dyDescent="0.45"/>
    <row r="10" spans="2:19" ht="13.5" thickBot="1" x14ac:dyDescent="0.45">
      <c r="H10" s="27">
        <f>Assump!D14</f>
        <v>0.6</v>
      </c>
      <c r="I10" s="9">
        <f>MAX(L10/(1+C4)^K6-Assump!E12,0)</f>
        <v>918.0414083779807</v>
      </c>
      <c r="L10" s="29">
        <f>L8*K8+L12*K12</f>
        <v>1050.6063773833384</v>
      </c>
      <c r="M10" s="30"/>
    </row>
    <row r="11" spans="2:19" ht="13.5" thickBot="1" x14ac:dyDescent="0.45"/>
    <row r="12" spans="2:19" ht="13.5" thickBot="1" x14ac:dyDescent="0.45">
      <c r="E12" s="31">
        <f>Assump!C14</f>
        <v>0.4</v>
      </c>
      <c r="F12" s="32">
        <f>MAX(I12/(1+C4)^H6-Assump!D12,0)</f>
        <v>339.11419405834522</v>
      </c>
      <c r="I12" s="29">
        <f>H10*I10+H14*I14</f>
        <v>550.82484502678835</v>
      </c>
      <c r="K12" s="33">
        <f>1-K8</f>
        <v>9.9999999999999978E-2</v>
      </c>
      <c r="L12" s="9">
        <v>0</v>
      </c>
      <c r="N12" s="42"/>
      <c r="O12" s="42"/>
      <c r="P12" s="42"/>
      <c r="Q12" s="42"/>
    </row>
    <row r="13" spans="2:19" ht="13.5" thickBot="1" x14ac:dyDescent="0.45"/>
    <row r="14" spans="2:19" ht="13.5" thickBot="1" x14ac:dyDescent="0.45">
      <c r="B14" s="34" t="s">
        <v>35</v>
      </c>
      <c r="C14" s="9">
        <f>MAX(F14/(1+C4)^E6-Assump!C12,0)</f>
        <v>28.135903717584554</v>
      </c>
      <c r="F14" s="29">
        <f>E12*F12+E16*F16</f>
        <v>135.64567762333809</v>
      </c>
      <c r="H14" s="33">
        <f>1-H10</f>
        <v>0.4</v>
      </c>
      <c r="I14" s="9">
        <v>0</v>
      </c>
      <c r="M14" s="35"/>
    </row>
    <row r="15" spans="2:19" ht="13.5" thickBot="1" x14ac:dyDescent="0.45">
      <c r="I15" s="10"/>
      <c r="P15" s="26"/>
    </row>
    <row r="16" spans="2:19" ht="13.5" thickBot="1" x14ac:dyDescent="0.45">
      <c r="E16" s="33">
        <f>1-E12</f>
        <v>0.6</v>
      </c>
      <c r="F16" s="32">
        <v>0</v>
      </c>
    </row>
    <row r="17" spans="2:12" x14ac:dyDescent="0.4">
      <c r="E17" s="36"/>
    </row>
    <row r="18" spans="2:12" x14ac:dyDescent="0.4">
      <c r="B18" s="5" t="s">
        <v>13</v>
      </c>
      <c r="E18" s="14">
        <f>E12</f>
        <v>0.4</v>
      </c>
      <c r="F18" s="16">
        <f>F12</f>
        <v>339.11419405834522</v>
      </c>
      <c r="G18" s="15"/>
      <c r="H18" s="15">
        <f>E18*H10</f>
        <v>0.24</v>
      </c>
      <c r="I18" s="16">
        <f>I10</f>
        <v>918.0414083779807</v>
      </c>
      <c r="J18" s="15"/>
      <c r="K18" s="15">
        <f>H18*K8</f>
        <v>0.216</v>
      </c>
      <c r="L18" s="26">
        <f>L8</f>
        <v>1167.3404193148206</v>
      </c>
    </row>
    <row r="19" spans="2:12" x14ac:dyDescent="0.4">
      <c r="B19" s="37" t="s">
        <v>12</v>
      </c>
      <c r="C19" s="38">
        <f>C14</f>
        <v>28.135903717584554</v>
      </c>
      <c r="D19" s="37"/>
      <c r="E19" s="39"/>
      <c r="F19" s="38">
        <f>F14</f>
        <v>135.64567762333809</v>
      </c>
      <c r="G19" s="37"/>
      <c r="H19" s="37"/>
      <c r="I19" s="38">
        <f>E12*I12</f>
        <v>220.32993801071535</v>
      </c>
      <c r="J19" s="37"/>
      <c r="K19" s="37"/>
      <c r="L19" s="38">
        <f>E12*H10*L10</f>
        <v>252.14553057200121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9"/>
  <sheetViews>
    <sheetView zoomScale="90" zoomScaleNormal="90" workbookViewId="0">
      <pane xSplit="1" ySplit="2" topLeftCell="B3" activePane="bottomRight" state="frozen"/>
      <selection activeCell="G4" sqref="G4"/>
      <selection pane="topRight" activeCell="G4" sqref="G4"/>
      <selection pane="bottomLeft" activeCell="G4" sqref="G4"/>
      <selection pane="bottomRight" activeCell="B3" sqref="B3"/>
    </sheetView>
  </sheetViews>
  <sheetFormatPr defaultRowHeight="13.15" x14ac:dyDescent="0.4"/>
  <cols>
    <col min="1" max="1" width="9.140625" style="5"/>
    <col min="2" max="2" width="36.5" style="5" bestFit="1" customWidth="1"/>
    <col min="3" max="3" width="6.640625" style="26" customWidth="1"/>
    <col min="4" max="5" width="6.640625" style="5" customWidth="1"/>
    <col min="6" max="6" width="6.640625" style="26" customWidth="1"/>
    <col min="7" max="8" width="6.640625" style="5" customWidth="1"/>
    <col min="9" max="9" width="6.640625" style="26" customWidth="1"/>
    <col min="10" max="11" width="6.640625" style="5" customWidth="1"/>
    <col min="12" max="12" width="6.640625" style="26" customWidth="1"/>
    <col min="13" max="15" width="9.140625" style="5"/>
    <col min="16" max="16" width="9.35546875" style="5" bestFit="1" customWidth="1"/>
    <col min="17" max="17" width="9.140625" style="5"/>
    <col min="18" max="18" width="9.140625" style="20"/>
    <col min="19" max="19" width="6.28515625" style="20" bestFit="1" customWidth="1"/>
    <col min="20" max="16384" width="9.140625" style="5"/>
  </cols>
  <sheetData>
    <row r="2" spans="2:19" x14ac:dyDescent="0.4">
      <c r="C2" s="24" t="s">
        <v>11</v>
      </c>
      <c r="E2" s="25" t="s">
        <v>2</v>
      </c>
      <c r="H2" s="24" t="s">
        <v>3</v>
      </c>
      <c r="K2" s="24" t="s">
        <v>10</v>
      </c>
    </row>
    <row r="3" spans="2:19" x14ac:dyDescent="0.4">
      <c r="B3" s="6"/>
    </row>
    <row r="4" spans="2:19" x14ac:dyDescent="0.4">
      <c r="B4" s="5" t="s">
        <v>36</v>
      </c>
      <c r="C4" s="15">
        <f>Assump!$C$5</f>
        <v>0.03</v>
      </c>
    </row>
    <row r="5" spans="2:19" s="26" customFormat="1" x14ac:dyDescent="0.4">
      <c r="B5" s="26" t="s">
        <v>18</v>
      </c>
      <c r="C5" s="26">
        <v>0</v>
      </c>
      <c r="E5" s="26">
        <f>Assump!C13</f>
        <v>2</v>
      </c>
      <c r="H5" s="26">
        <f>E5+Assump!D13</f>
        <v>4</v>
      </c>
      <c r="K5" s="26">
        <f>H5+Assump!E13</f>
        <v>5</v>
      </c>
      <c r="R5" s="20"/>
      <c r="S5" s="20"/>
    </row>
    <row r="6" spans="2:19" s="26" customFormat="1" x14ac:dyDescent="0.4">
      <c r="B6" s="26" t="s">
        <v>19</v>
      </c>
      <c r="C6" s="26">
        <f>C5</f>
        <v>0</v>
      </c>
      <c r="E6" s="26">
        <f>E5-C6</f>
        <v>2</v>
      </c>
      <c r="H6" s="26">
        <f>H5-E5</f>
        <v>2</v>
      </c>
      <c r="K6" s="26">
        <f>K5-H5</f>
        <v>1</v>
      </c>
      <c r="R6" s="20"/>
      <c r="S6" s="20"/>
    </row>
    <row r="7" spans="2:19" ht="13.5" thickBot="1" x14ac:dyDescent="0.45"/>
    <row r="8" spans="2:19" ht="13.5" thickBot="1" x14ac:dyDescent="0.45">
      <c r="K8" s="27">
        <f>DrTreeNoOptionsRN!K8</f>
        <v>0.82767857142857137</v>
      </c>
      <c r="L8" s="28">
        <f>Assump!C9</f>
        <v>1167.3404193148206</v>
      </c>
      <c r="Q8" s="30"/>
    </row>
    <row r="9" spans="2:19" ht="13.5" thickBot="1" x14ac:dyDescent="0.45"/>
    <row r="10" spans="2:19" ht="13.5" thickBot="1" x14ac:dyDescent="0.45">
      <c r="H10" s="27">
        <f>DrTreeNoOptionsRN!H10</f>
        <v>0.51073470778584174</v>
      </c>
      <c r="I10" s="9">
        <f>MAX(L10/(1+C4)^K6-Assump!$E$12,0)</f>
        <v>918.0414083779807</v>
      </c>
      <c r="L10" s="29">
        <f>L8*K8+L12*K12</f>
        <v>966.18265062932016</v>
      </c>
      <c r="M10" s="30"/>
    </row>
    <row r="11" spans="2:19" ht="13.5" thickBot="1" x14ac:dyDescent="0.45"/>
    <row r="12" spans="2:19" ht="13.5" thickBot="1" x14ac:dyDescent="0.45">
      <c r="E12" s="31">
        <f>DrTreeNoOptionsRN!E12</f>
        <v>0.37815886754807743</v>
      </c>
      <c r="F12" s="32">
        <f>MAX(I12/(1+C4)^H6-Assump!$D$12,0)</f>
        <v>341.96023229638098</v>
      </c>
      <c r="I12" s="29">
        <f>H10*I10+H14*I14</f>
        <v>468.87561044323058</v>
      </c>
      <c r="K12" s="33">
        <f>1-K8</f>
        <v>0.17232142857142863</v>
      </c>
      <c r="L12" s="9">
        <v>0</v>
      </c>
    </row>
    <row r="13" spans="2:19" ht="13.5" thickBot="1" x14ac:dyDescent="0.45"/>
    <row r="14" spans="2:19" ht="13.5" thickBot="1" x14ac:dyDescent="0.45">
      <c r="B14" s="34" t="s">
        <v>35</v>
      </c>
      <c r="C14" s="9">
        <f>MAX(F14/(1+C4)^E6-Assump!$C$12,0)</f>
        <v>41.892067293502606</v>
      </c>
      <c r="F14" s="29">
        <f>E12*F12+E16*F16</f>
        <v>129.31529419167691</v>
      </c>
      <c r="H14" s="33">
        <f>1-H10</f>
        <v>0.48926529221415826</v>
      </c>
      <c r="I14" s="9">
        <v>0</v>
      </c>
      <c r="M14" s="35"/>
    </row>
    <row r="15" spans="2:19" ht="13.5" thickBot="1" x14ac:dyDescent="0.45">
      <c r="I15" s="10"/>
    </row>
    <row r="16" spans="2:19" ht="13.5" thickBot="1" x14ac:dyDescent="0.45">
      <c r="E16" s="33">
        <f>1-E12</f>
        <v>0.62184113245192263</v>
      </c>
      <c r="F16" s="32">
        <v>0</v>
      </c>
    </row>
    <row r="17" spans="2:12" x14ac:dyDescent="0.4">
      <c r="E17" s="36"/>
    </row>
    <row r="18" spans="2:12" x14ac:dyDescent="0.4">
      <c r="B18" s="5" t="s">
        <v>13</v>
      </c>
      <c r="E18" s="14">
        <f>E12</f>
        <v>0.37815886754807743</v>
      </c>
      <c r="F18" s="16">
        <f>F12</f>
        <v>341.96023229638098</v>
      </c>
      <c r="G18" s="15"/>
      <c r="H18" s="15">
        <f>E18*H10</f>
        <v>0.19313885871379216</v>
      </c>
      <c r="I18" s="16">
        <f>I10</f>
        <v>918.0414083779807</v>
      </c>
      <c r="J18" s="15"/>
      <c r="K18" s="15">
        <f>H18*K8</f>
        <v>0.15985689466757619</v>
      </c>
      <c r="L18" s="26">
        <f>L8</f>
        <v>1167.3404193148206</v>
      </c>
    </row>
    <row r="19" spans="2:12" x14ac:dyDescent="0.4">
      <c r="B19" s="37" t="s">
        <v>12</v>
      </c>
      <c r="C19" s="38">
        <f>C14</f>
        <v>41.892067293502606</v>
      </c>
      <c r="D19" s="37"/>
      <c r="E19" s="39"/>
      <c r="F19" s="38">
        <f>F14</f>
        <v>129.31529419167691</v>
      </c>
      <c r="G19" s="37"/>
      <c r="H19" s="37"/>
      <c r="I19" s="38">
        <f>E12*I12</f>
        <v>177.3094698661256</v>
      </c>
      <c r="J19" s="37"/>
      <c r="K19" s="37"/>
      <c r="L19" s="38">
        <f>E12*H10*L10</f>
        <v>186.60741445161349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9"/>
  <sheetViews>
    <sheetView zoomScale="90" zoomScaleNormal="90" workbookViewId="0">
      <pane xSplit="1" ySplit="2" topLeftCell="B3" activePane="bottomRight" state="frozen"/>
      <selection activeCell="G4" sqref="G4"/>
      <selection pane="topRight" activeCell="G4" sqref="G4"/>
      <selection pane="bottomLeft" activeCell="G4" sqref="G4"/>
      <selection pane="bottomRight" activeCell="B3" sqref="B3"/>
    </sheetView>
  </sheetViews>
  <sheetFormatPr defaultRowHeight="13.15" x14ac:dyDescent="0.4"/>
  <cols>
    <col min="1" max="1" width="9.140625" style="5"/>
    <col min="2" max="2" width="36.5" style="5" bestFit="1" customWidth="1"/>
    <col min="3" max="3" width="6.640625" style="26" customWidth="1"/>
    <col min="4" max="5" width="6.640625" style="5" customWidth="1"/>
    <col min="6" max="6" width="6.640625" style="26" customWidth="1"/>
    <col min="7" max="8" width="6.640625" style="5" customWidth="1"/>
    <col min="9" max="9" width="6.640625" style="26" customWidth="1"/>
    <col min="10" max="11" width="6.640625" style="5" customWidth="1"/>
    <col min="12" max="12" width="6.640625" style="26" customWidth="1"/>
    <col min="13" max="15" width="9.140625" style="5"/>
    <col min="16" max="16" width="9.35546875" style="5" bestFit="1" customWidth="1"/>
    <col min="17" max="17" width="9.140625" style="5"/>
    <col min="18" max="18" width="9.140625" style="20"/>
    <col min="19" max="19" width="6.28515625" style="20" bestFit="1" customWidth="1"/>
    <col min="20" max="16384" width="9.140625" style="5"/>
  </cols>
  <sheetData>
    <row r="2" spans="2:19" x14ac:dyDescent="0.4">
      <c r="C2" s="24" t="s">
        <v>11</v>
      </c>
      <c r="E2" s="25" t="s">
        <v>2</v>
      </c>
      <c r="H2" s="24" t="s">
        <v>3</v>
      </c>
      <c r="K2" s="24" t="s">
        <v>10</v>
      </c>
      <c r="N2" s="5" t="s">
        <v>29</v>
      </c>
      <c r="O2" s="5" t="s">
        <v>30</v>
      </c>
    </row>
    <row r="3" spans="2:19" x14ac:dyDescent="0.4">
      <c r="B3" s="6"/>
    </row>
    <row r="4" spans="2:19" x14ac:dyDescent="0.4">
      <c r="B4" s="5" t="s">
        <v>28</v>
      </c>
      <c r="C4" s="23">
        <v>9.7414841278417888E-2</v>
      </c>
    </row>
    <row r="5" spans="2:19" s="26" customFormat="1" x14ac:dyDescent="0.4">
      <c r="B5" s="26" t="s">
        <v>18</v>
      </c>
      <c r="C5" s="26">
        <v>0</v>
      </c>
      <c r="E5" s="26">
        <f>Assump!C13</f>
        <v>2</v>
      </c>
      <c r="H5" s="26">
        <f>E5+Assump!D13</f>
        <v>4</v>
      </c>
      <c r="K5" s="26">
        <f>H5+Assump!E13</f>
        <v>5</v>
      </c>
      <c r="R5" s="20"/>
      <c r="S5" s="20"/>
    </row>
    <row r="6" spans="2:19" s="26" customFormat="1" x14ac:dyDescent="0.4">
      <c r="B6" s="26" t="s">
        <v>19</v>
      </c>
      <c r="C6" s="26">
        <f>C5</f>
        <v>0</v>
      </c>
      <c r="E6" s="26">
        <f>E5-C6</f>
        <v>2</v>
      </c>
      <c r="H6" s="26">
        <f>H5-E5</f>
        <v>2</v>
      </c>
      <c r="K6" s="26">
        <f>K5-H5</f>
        <v>1</v>
      </c>
      <c r="R6" s="20"/>
      <c r="S6" s="20"/>
    </row>
    <row r="7" spans="2:19" ht="13.5" thickBot="1" x14ac:dyDescent="0.45"/>
    <row r="8" spans="2:19" ht="13.5" thickBot="1" x14ac:dyDescent="0.45">
      <c r="K8" s="27">
        <f>Assump!E14</f>
        <v>0.9</v>
      </c>
      <c r="L8" s="28">
        <f>Assump!C9</f>
        <v>1167.3404193148206</v>
      </c>
      <c r="Q8" s="30"/>
    </row>
    <row r="9" spans="2:19" ht="13.5" thickBot="1" x14ac:dyDescent="0.45"/>
    <row r="10" spans="2:19" ht="13.5" thickBot="1" x14ac:dyDescent="0.45">
      <c r="H10" s="27">
        <f>Assump!D14</f>
        <v>0.6</v>
      </c>
      <c r="I10" s="9">
        <f>MAX(L10/(1+C4)^K6-Assump!E12,0)</f>
        <v>937.34660938196294</v>
      </c>
      <c r="L10" s="29">
        <f>L8*K8+L12*K12</f>
        <v>1050.6063773833384</v>
      </c>
      <c r="M10" s="30"/>
    </row>
    <row r="11" spans="2:19" ht="13.5" thickBot="1" x14ac:dyDescent="0.45"/>
    <row r="12" spans="2:19" ht="13.5" thickBot="1" x14ac:dyDescent="0.45">
      <c r="E12" s="31">
        <f>Assump!C14</f>
        <v>0.4</v>
      </c>
      <c r="F12" s="32">
        <f>MAX(I12/(1+C4)^H6-Assump!D12,0)</f>
        <v>366.99239131822117</v>
      </c>
      <c r="I12" s="29">
        <f>H10*I10+H14*I14</f>
        <v>562.40796562917774</v>
      </c>
      <c r="K12" s="33">
        <f>1-K8</f>
        <v>9.9999999999999978E-2</v>
      </c>
      <c r="L12" s="9">
        <v>0</v>
      </c>
    </row>
    <row r="13" spans="2:19" ht="13.5" thickBot="1" x14ac:dyDescent="0.45"/>
    <row r="14" spans="2:19" ht="13.5" thickBot="1" x14ac:dyDescent="0.45">
      <c r="B14" s="34" t="s">
        <v>35</v>
      </c>
      <c r="C14" s="9">
        <f>MAX(F14/(1+C4)^E6-Assump!C12,0)</f>
        <v>41.892053378411219</v>
      </c>
      <c r="F14" s="29">
        <f>E12*F12+E16*F16</f>
        <v>146.79695652728847</v>
      </c>
      <c r="H14" s="33">
        <f>1-H10</f>
        <v>0.4</v>
      </c>
      <c r="I14" s="9">
        <v>0</v>
      </c>
      <c r="M14" s="35"/>
      <c r="N14" s="20">
        <f>DrTreeROA!C14</f>
        <v>41.892067293502606</v>
      </c>
      <c r="O14" s="40">
        <f>N14-C14</f>
        <v>1.391509138670699E-5</v>
      </c>
    </row>
    <row r="15" spans="2:19" ht="13.5" thickBot="1" x14ac:dyDescent="0.45">
      <c r="I15" s="10"/>
    </row>
    <row r="16" spans="2:19" ht="13.5" thickBot="1" x14ac:dyDescent="0.45">
      <c r="E16" s="33">
        <f>1-E12</f>
        <v>0.6</v>
      </c>
      <c r="F16" s="32">
        <v>0</v>
      </c>
    </row>
    <row r="17" spans="2:12" x14ac:dyDescent="0.4">
      <c r="E17" s="36"/>
    </row>
    <row r="18" spans="2:12" x14ac:dyDescent="0.4">
      <c r="B18" s="5" t="s">
        <v>13</v>
      </c>
      <c r="E18" s="14">
        <f>E12</f>
        <v>0.4</v>
      </c>
      <c r="F18" s="16">
        <f>F12</f>
        <v>366.99239131822117</v>
      </c>
      <c r="G18" s="15"/>
      <c r="H18" s="15">
        <f>E18*H10</f>
        <v>0.24</v>
      </c>
      <c r="I18" s="16">
        <f>I10</f>
        <v>937.34660938196294</v>
      </c>
      <c r="J18" s="15"/>
      <c r="K18" s="15">
        <f>H18*K8</f>
        <v>0.216</v>
      </c>
      <c r="L18" s="26">
        <f>L8</f>
        <v>1167.3404193148206</v>
      </c>
    </row>
    <row r="19" spans="2:12" x14ac:dyDescent="0.4">
      <c r="B19" s="37" t="s">
        <v>12</v>
      </c>
      <c r="C19" s="38">
        <f>C14</f>
        <v>41.892053378411219</v>
      </c>
      <c r="D19" s="37"/>
      <c r="E19" s="39"/>
      <c r="F19" s="38">
        <f>F14</f>
        <v>146.79695652728847</v>
      </c>
      <c r="G19" s="37"/>
      <c r="H19" s="37"/>
      <c r="I19" s="38">
        <f>E12*I12</f>
        <v>224.96318625167112</v>
      </c>
      <c r="J19" s="37"/>
      <c r="K19" s="37"/>
      <c r="L19" s="38">
        <f>E12*H10*L10</f>
        <v>252.14553057200121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Assump</vt:lpstr>
      <vt:lpstr>DrTreeNoOptions</vt:lpstr>
      <vt:lpstr>DrTreeNoOptionsRN</vt:lpstr>
      <vt:lpstr>DrTreeDTA</vt:lpstr>
      <vt:lpstr>DrTreeROA</vt:lpstr>
      <vt:lpstr>DrTreeDTADiscRateEst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Hall</dc:creator>
  <cp:lastModifiedBy>Jason Hall</cp:lastModifiedBy>
  <dcterms:created xsi:type="dcterms:W3CDTF">2017-03-26T23:06:31Z</dcterms:created>
  <dcterms:modified xsi:type="dcterms:W3CDTF">2017-06-23T21:13:39Z</dcterms:modified>
</cp:coreProperties>
</file>